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tart&amp;End SG to alc. - Tabel 1" sheetId="1" r:id="rId1"/>
  </sheets>
  <definedNames/>
  <calcPr fullCalcOnLoad="1"/>
</workbook>
</file>

<file path=xl/sharedStrings.xml><?xml version="1.0" encoding="utf-8"?>
<sst xmlns="http://schemas.openxmlformats.org/spreadsheetml/2006/main" count="16" uniqueCount="17">
  <si>
    <t>Na brouwen</t>
  </si>
  <si>
    <t>Na hoofdvergisting</t>
  </si>
  <si>
    <t>Na eindvergisting</t>
  </si>
  <si>
    <t>Afgelezen SG (Refractometer, Brix)</t>
  </si>
  <si>
    <t>of: Afgelezen SG (hydrometer, g/liter)</t>
  </si>
  <si>
    <t>Bottelen: suiker in grammen/liter</t>
  </si>
  <si>
    <t>Berekend SG</t>
  </si>
  <si>
    <t>Extract gehalte (g/100 ml wort)</t>
  </si>
  <si>
    <t>Graden Plato (g extract/100 g wort)</t>
  </si>
  <si>
    <t>Alcoholgehalte (g/100ml)</t>
  </si>
  <si>
    <t>Alcohol gew%</t>
  </si>
  <si>
    <t>Alcohol vol%</t>
  </si>
  <si>
    <t>Categorie (NL wetgeving)</t>
  </si>
  <si>
    <t>I</t>
  </si>
  <si>
    <t>energie in kCal/100 ml</t>
  </si>
  <si>
    <t>Vergistinggraad</t>
  </si>
  <si>
    <r>
      <t xml:space="preserve">online versie: </t>
    </r>
    <r>
      <rPr>
        <b/>
        <u val="single"/>
        <sz val="10"/>
        <color indexed="19"/>
        <rFont val="Arial"/>
        <family val="0"/>
      </rPr>
      <t>http://www.gerstenat.nl/soortelijk.gewicht</t>
    </r>
  </si>
</sst>
</file>

<file path=xl/styles.xml><?xml version="1.0" encoding="utf-8"?>
<styleSheet xmlns="http://schemas.openxmlformats.org/spreadsheetml/2006/main">
  <numFmts count="2">
    <numFmt numFmtId="59" formatCode="0.00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3"/>
      <name val="Arial"/>
      <family val="0"/>
    </font>
    <font>
      <sz val="10"/>
      <color indexed="16"/>
      <name val="Arial"/>
      <family val="0"/>
    </font>
    <font>
      <b/>
      <u val="single"/>
      <sz val="10"/>
      <color indexed="1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>
        <color indexed="9"/>
      </right>
      <top>
        <color indexed="11"/>
      </top>
      <bottom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1"/>
      </top>
      <bottom style="thin">
        <color indexed="11"/>
      </bottom>
    </border>
    <border>
      <left style="thin">
        <color indexed="12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12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2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9"/>
      </bottom>
    </border>
    <border>
      <left>
        <color indexed="11"/>
      </left>
      <right>
        <color indexed="9"/>
      </right>
      <top style="thin">
        <color indexed="11"/>
      </top>
      <bottom>
        <color indexed="9"/>
      </bottom>
    </border>
    <border>
      <left>
        <color indexed="9"/>
      </left>
      <right>
        <color indexed="9"/>
      </right>
      <top style="thin">
        <color indexed="11"/>
      </top>
      <bottom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 horizontal="right"/>
    </xf>
    <xf numFmtId="0" fontId="2" fillId="3" borderId="6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2" fillId="4" borderId="6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59" fontId="4" fillId="2" borderId="1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59" fontId="1" fillId="2" borderId="1" xfId="0" applyNumberFormat="1" applyFont="1" applyFill="1" applyBorder="1" applyAlignment="1">
      <alignment/>
    </xf>
    <xf numFmtId="59" fontId="1" fillId="2" borderId="3" xfId="0" applyNumberFormat="1" applyFont="1" applyFill="1" applyBorder="1" applyAlignment="1">
      <alignment/>
    </xf>
    <xf numFmtId="60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right"/>
    </xf>
    <xf numFmtId="60" fontId="2" fillId="2" borderId="5" xfId="0" applyNumberFormat="1" applyFont="1" applyFill="1" applyBorder="1" applyAlignment="1">
      <alignment/>
    </xf>
    <xf numFmtId="2" fontId="1" fillId="5" borderId="6" xfId="0" applyNumberFormat="1" applyFont="1" applyFill="1" applyBorder="1" applyAlignment="1">
      <alignment/>
    </xf>
    <xf numFmtId="2" fontId="2" fillId="6" borderId="6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2" fillId="6" borderId="6" xfId="0" applyNumberFormat="1" applyFont="1" applyFill="1" applyBorder="1" applyAlignment="1">
      <alignment horizontal="right"/>
    </xf>
    <xf numFmtId="60" fontId="1" fillId="2" borderId="13" xfId="0" applyNumberFormat="1" applyFont="1" applyFill="1" applyBorder="1" applyAlignment="1">
      <alignment/>
    </xf>
    <xf numFmtId="60" fontId="1" fillId="2" borderId="3" xfId="0" applyNumberFormat="1" applyFont="1" applyFill="1" applyBorder="1" applyAlignment="1">
      <alignment/>
    </xf>
    <xf numFmtId="0" fontId="1" fillId="2" borderId="15" xfId="0" applyNumberFormat="1" applyFont="1" applyFill="1" applyBorder="1" applyAlignment="1">
      <alignment horizontal="right"/>
    </xf>
    <xf numFmtId="60" fontId="1" fillId="2" borderId="16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6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CCCCC"/>
      <rgbColor rgb="00B3B3B3"/>
      <rgbColor rgb="00FFFFFF"/>
      <rgbColor rgb="00FCBD00"/>
      <rgbColor rgb="00FFFF99"/>
      <rgbColor rgb="00C0C0C0"/>
      <rgbColor rgb="0000BAFB"/>
      <rgbColor rgb="0047CCFC"/>
      <rgbColor rgb="000000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stenat.nl/soortelijk.gewich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6.296875" style="1" customWidth="1"/>
    <col min="2" max="4" width="16.19921875" style="1" customWidth="1"/>
    <col min="5" max="5" width="9.8984375" style="1" customWidth="1"/>
    <col min="6" max="6" width="5.296875" style="1" customWidth="1"/>
    <col min="7" max="256" width="10.296875" style="1" customWidth="1"/>
  </cols>
  <sheetData>
    <row r="1" spans="1:6" ht="12.75" customHeight="1">
      <c r="A1" s="2"/>
      <c r="B1" s="3" t="s">
        <v>0</v>
      </c>
      <c r="C1" s="3" t="s">
        <v>1</v>
      </c>
      <c r="D1" s="4" t="s">
        <v>2</v>
      </c>
      <c r="E1" s="5"/>
      <c r="F1" s="6">
        <f>B2/1.04</f>
        <v>12.596153846153845</v>
      </c>
    </row>
    <row r="2" spans="1:6" ht="12.75" customHeight="1">
      <c r="A2" s="7" t="s">
        <v>3</v>
      </c>
      <c r="B2" s="8">
        <v>13.1</v>
      </c>
      <c r="C2" s="8">
        <v>6.1</v>
      </c>
      <c r="D2" s="9"/>
      <c r="E2" s="10"/>
      <c r="F2" s="11">
        <f>C2/1.04</f>
        <v>5.865384615384615</v>
      </c>
    </row>
    <row r="3" spans="1:6" ht="12.75" customHeight="1">
      <c r="A3" s="7" t="s">
        <v>4</v>
      </c>
      <c r="B3" s="12"/>
      <c r="C3" s="12"/>
      <c r="D3" s="13"/>
      <c r="E3" s="10"/>
      <c r="F3" s="11">
        <f>0.8374+(B6/1000-C6/1000)*(0.86-0.8374)/0.112</f>
        <v>0.8463988893791237</v>
      </c>
    </row>
    <row r="4" spans="1:6" ht="12.75" customHeight="1">
      <c r="A4" s="14" t="s">
        <v>5</v>
      </c>
      <c r="B4" s="15"/>
      <c r="C4" s="16"/>
      <c r="D4" s="8">
        <v>8</v>
      </c>
      <c r="E4" s="17"/>
      <c r="F4" s="18"/>
    </row>
    <row r="5" spans="1:6" ht="12.75" customHeight="1">
      <c r="A5" s="14"/>
      <c r="B5" s="19"/>
      <c r="C5" s="19"/>
      <c r="D5" s="20"/>
      <c r="E5" s="10"/>
      <c r="F5" s="18"/>
    </row>
    <row r="6" spans="1:6" ht="12.75" customHeight="1">
      <c r="A6" s="14" t="s">
        <v>6</v>
      </c>
      <c r="B6" s="21">
        <f>IF(B3,B3,(1000.019+3.865613*F1+0.01296425*F1^2+0.0000005701128*F1^3))</f>
        <v>1050.7689434403935</v>
      </c>
      <c r="C6" s="21">
        <f>IF(C3,C3,1000*((1.001843)-(0.002318474*F1)-(0.000007775*F1^2)-(0.000000034*F1^3)+(0.00574*F2)+(0.00003344*F2^2)+(0.000000086*F2^3)))</f>
        <v>1006.1726774907545</v>
      </c>
      <c r="D6" s="22">
        <f>1000*((B6/10-B7)+C7+D9)/((B6/10-B7)+(C7/1.619)+(D9/F3))</f>
        <v>1005.4419286764532</v>
      </c>
      <c r="E6" s="10"/>
      <c r="F6" s="18"/>
    </row>
    <row r="7" spans="1:6" ht="12.75" customHeight="1">
      <c r="A7" s="14" t="s">
        <v>7</v>
      </c>
      <c r="B7" s="23">
        <f>100*(B6/1000-1)/(1-1/1.619)</f>
        <v>13.278662266558499</v>
      </c>
      <c r="C7" s="23">
        <f>((B6/10-B7)+0.484*B7/F3-((B6/10-B7)+0.484*B7)/(C6/1000))/((1-0.484)/(C6/1000)-1/1.619+0.484/F3)</f>
        <v>3.787798544530542</v>
      </c>
      <c r="D7" s="24">
        <f>C7</f>
        <v>3.787798544530542</v>
      </c>
      <c r="E7" s="10"/>
      <c r="F7" s="18"/>
    </row>
    <row r="8" spans="1:6" ht="12.75" customHeight="1">
      <c r="A8" s="14" t="s">
        <v>8</v>
      </c>
      <c r="B8" s="23">
        <f>B7/(B6/1000)</f>
        <v>12.637090532083993</v>
      </c>
      <c r="C8" s="23">
        <f>C7/(C6/1000)</f>
        <v>3.76456112282511</v>
      </c>
      <c r="D8" s="24">
        <f>C8</f>
        <v>3.76456112282511</v>
      </c>
      <c r="E8" s="10"/>
      <c r="F8" s="18"/>
    </row>
    <row r="9" spans="1:6" ht="12.75" customHeight="1">
      <c r="A9" s="14" t="s">
        <v>9</v>
      </c>
      <c r="B9" s="2"/>
      <c r="C9" s="23">
        <f>0.484*(B7-C7)</f>
        <v>4.593578041461531</v>
      </c>
      <c r="D9" s="24">
        <f>0.484*(B7+D4/10-C7)</f>
        <v>4.980778041461531</v>
      </c>
      <c r="E9" s="10"/>
      <c r="F9" s="18"/>
    </row>
    <row r="10" spans="1:6" ht="12.75" customHeight="1">
      <c r="A10" s="14" t="s">
        <v>10</v>
      </c>
      <c r="B10" s="25"/>
      <c r="C10" s="26">
        <f>100*C9/((B6/10-B7)+C7+C9)</f>
        <v>4.585342369316344</v>
      </c>
      <c r="D10" s="27">
        <f>100*D9/((B6/10-B7)+D7+D9)</f>
        <v>4.952705676610189</v>
      </c>
      <c r="E10" s="10"/>
      <c r="F10" s="18"/>
    </row>
    <row r="11" spans="1:6" ht="12.75" customHeight="1">
      <c r="A11" s="28" t="s">
        <v>11</v>
      </c>
      <c r="B11" s="29"/>
      <c r="C11" s="30">
        <f>100*(C9/0.7894)/(((B6/10-B7+C9+C7))/(C6/1000))</f>
        <v>5.844497351085414</v>
      </c>
      <c r="D11" s="31">
        <f>100*(D9/0.7894)/((D7+(B6/10-B7)+D9)/(D6/1000))</f>
        <v>6.308155494879361</v>
      </c>
      <c r="E11" s="32"/>
      <c r="F11" s="18"/>
    </row>
    <row r="12" spans="1:6" ht="12.75" customHeight="1">
      <c r="A12" s="14" t="s">
        <v>12</v>
      </c>
      <c r="B12" s="14"/>
      <c r="C12" s="16"/>
      <c r="D12" s="33" t="str">
        <f>IF(B8&gt;15.5,"S",IF(B8&gt;11,"I",IF(B8&gt;7,"II","III")))</f>
        <v>I</v>
      </c>
      <c r="E12" s="32"/>
      <c r="F12" s="18"/>
    </row>
    <row r="13" spans="1:6" ht="12.75" customHeight="1">
      <c r="A13" s="14" t="s">
        <v>14</v>
      </c>
      <c r="B13" s="25">
        <f>4*B7</f>
        <v>53.114649066233994</v>
      </c>
      <c r="C13" s="25">
        <f>(4*C7+7.11*C9)*(100/((B6/10-B7)+(C7/1.619)+(C9/F3)))</f>
        <v>48.02041041561881</v>
      </c>
      <c r="D13" s="34">
        <f>(4*D7+7.11*D9)*(100/((B6/10-B7)+(D7/1.619)+(D9/F3)))</f>
        <v>50.55315493541943</v>
      </c>
      <c r="E13" s="10"/>
      <c r="F13" s="18"/>
    </row>
    <row r="14" spans="1:6" ht="12.75" customHeight="1">
      <c r="A14" s="14" t="s">
        <v>15</v>
      </c>
      <c r="B14" s="25"/>
      <c r="C14" s="25">
        <f>((B6-C6)/(B6-1000))*100</f>
        <v>87.84162704114243</v>
      </c>
      <c r="D14" s="35">
        <f>100*((((B7+D4/10)+(B6/10-B7))/(((B7+D4/10)/1.619)+(B6/10-B7)))-D6/1000)/((((B7+D4/10)+(B6/10-B7))/(((B7+D4/10)/1.619)+(B6/10-B7)))-1)</f>
        <v>89.84012514211503</v>
      </c>
      <c r="E14" s="10"/>
      <c r="F14" s="18"/>
    </row>
    <row r="15" spans="1:6" ht="12.75" customHeight="1">
      <c r="A15" s="36"/>
      <c r="B15" s="37"/>
      <c r="C15" s="37"/>
      <c r="D15" s="37"/>
      <c r="E15" s="38"/>
      <c r="F15" s="18"/>
    </row>
    <row r="16" spans="1:6" ht="12.75" customHeight="1">
      <c r="A16" s="39" t="s">
        <v>16</v>
      </c>
      <c r="B16" s="40"/>
      <c r="C16" s="40"/>
      <c r="D16" s="40"/>
      <c r="E16" s="41"/>
      <c r="F16" s="42"/>
    </row>
  </sheetData>
  <hyperlinks>
    <hyperlink ref="A16" r:id="rId1" display="http://www.gerstenat.nl/soortelijk.gewicht"/>
  </hyperlinks>
  <printOptions/>
  <pageMargins left="0.7479166388511658" right="0.7479166388511658" top="0.9840277433395386" bottom="0.9840277433395386" header="0.511805534362793" footer="0.511805534362793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